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<sst xmlns="http://schemas.openxmlformats.org/spreadsheetml/2006/main" count="2034" uniqueCount="290">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</sst>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23633027.179999996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8" sqref="G14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381226.93999999994</v>
      </c>
      <c r="G8" s="22">
        <f aca="true" t="shared" si="0" ref="G8:G30">F8-E8</f>
        <v>-9776.699999999953</v>
      </c>
      <c r="H8" s="51">
        <f>F8/E8*100</f>
        <v>97.4995884948795</v>
      </c>
      <c r="I8" s="36">
        <f aca="true" t="shared" si="1" ref="I8:I17">F8-D8</f>
        <v>-107249.36000000004</v>
      </c>
      <c r="J8" s="36">
        <f aca="true" t="shared" si="2" ref="J8:J14">F8/D8*100</f>
        <v>78.04410162785788</v>
      </c>
      <c r="K8" s="36">
        <f>F8-381548.5</f>
        <v>-321.5600000000559</v>
      </c>
      <c r="L8" s="136">
        <f>F8/381548.5</f>
        <v>0.9991572237867531</v>
      </c>
      <c r="M8" s="22">
        <f>M10+M19+M33+M56+M68+M30</f>
        <v>39644.799999999974</v>
      </c>
      <c r="N8" s="22">
        <f>N10+N19+N33+N56+N68+N30</f>
        <v>32936.890000000036</v>
      </c>
      <c r="O8" s="36">
        <f aca="true" t="shared" si="3" ref="O8:O71">N8-M8</f>
        <v>-6707.909999999938</v>
      </c>
      <c r="P8" s="36">
        <f>F8/M8*100</f>
        <v>961.6064149648887</v>
      </c>
      <c r="Q8" s="36">
        <f>N8-37261.3</f>
        <v>-4324.409999999967</v>
      </c>
      <c r="R8" s="134">
        <f>N8/37261.3</f>
        <v>0.8839436627278177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309691.9</v>
      </c>
      <c r="G9" s="22">
        <f t="shared" si="0"/>
        <v>309691.9</v>
      </c>
      <c r="H9" s="20"/>
      <c r="I9" s="56">
        <f t="shared" si="1"/>
        <v>-77321.29999999999</v>
      </c>
      <c r="J9" s="56">
        <f t="shared" si="2"/>
        <v>80.02101737098373</v>
      </c>
      <c r="K9" s="56"/>
      <c r="L9" s="135"/>
      <c r="M9" s="20">
        <f>M10+M17</f>
        <v>32246.599999999977</v>
      </c>
      <c r="N9" s="20">
        <f>N10+N17</f>
        <v>27078.22000000003</v>
      </c>
      <c r="O9" s="36">
        <f t="shared" si="3"/>
        <v>-5168.379999999946</v>
      </c>
      <c r="P9" s="56">
        <f>F9/M9*100</f>
        <v>960.3862112594824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309691.9</v>
      </c>
      <c r="G10" s="49">
        <f t="shared" si="0"/>
        <v>-10014.199999999953</v>
      </c>
      <c r="H10" s="40">
        <f aca="true" t="shared" si="4" ref="H10:H17">F10/E10*100</f>
        <v>96.86768566505302</v>
      </c>
      <c r="I10" s="56">
        <f t="shared" si="1"/>
        <v>-77321.29999999999</v>
      </c>
      <c r="J10" s="56">
        <f t="shared" si="2"/>
        <v>80.02101737098373</v>
      </c>
      <c r="K10" s="141">
        <f>F10-302092.5</f>
        <v>7599.400000000023</v>
      </c>
      <c r="L10" s="142">
        <f>F10/302092.5</f>
        <v>1.0251558711321864</v>
      </c>
      <c r="M10" s="40">
        <f>E10-вересень!E10</f>
        <v>32246.599999999977</v>
      </c>
      <c r="N10" s="40">
        <f>F10-вересень!F10</f>
        <v>27078.22000000003</v>
      </c>
      <c r="O10" s="53">
        <f t="shared" si="3"/>
        <v>-5168.379999999946</v>
      </c>
      <c r="P10" s="56">
        <f aca="true" t="shared" si="5" ref="P10:P17">N10/M10*100</f>
        <v>83.97232576457688</v>
      </c>
      <c r="Q10" s="141">
        <f>N10-29418.1</f>
        <v>-2339.8799999999683</v>
      </c>
      <c r="R10" s="142">
        <f>N10/29418.1</f>
        <v>0.9204612126547952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67068.86</v>
      </c>
      <c r="G33" s="49">
        <f aca="true" t="shared" si="14" ref="G33:G72">F33-E33</f>
        <v>2533.020000000004</v>
      </c>
      <c r="H33" s="40">
        <f aca="true" t="shared" si="15" ref="H33:H67">F33/E33*100</f>
        <v>103.9249818395484</v>
      </c>
      <c r="I33" s="56">
        <f>F33-D33</f>
        <v>-26497.14</v>
      </c>
      <c r="J33" s="56">
        <f aca="true" t="shared" si="16" ref="J33:J72">F33/D33*100</f>
        <v>71.68080285573821</v>
      </c>
      <c r="K33" s="141">
        <f>F33-67415.8</f>
        <v>-346.9400000000023</v>
      </c>
      <c r="L33" s="142">
        <f>F33/67415.8</f>
        <v>0.9948537286511471</v>
      </c>
      <c r="M33" s="40">
        <f>E33-вересень!E33</f>
        <v>6833.699999999997</v>
      </c>
      <c r="N33" s="40">
        <f>F33-вересень!F33</f>
        <v>5836.4000000000015</v>
      </c>
      <c r="O33" s="53">
        <f t="shared" si="3"/>
        <v>-997.2999999999956</v>
      </c>
      <c r="P33" s="56">
        <f aca="true" t="shared" si="17" ref="P33:P67">N33/M33*100</f>
        <v>85.4061489383497</v>
      </c>
      <c r="Q33" s="141">
        <f>N33-7002.6</f>
        <v>-1166.199999999999</v>
      </c>
      <c r="R33" s="142">
        <f>N33/7002.6</f>
        <v>0.8334618570245339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49810.01</v>
      </c>
      <c r="G55" s="144">
        <f t="shared" si="14"/>
        <v>2404.470000000001</v>
      </c>
      <c r="H55" s="146">
        <f t="shared" si="15"/>
        <v>105.07212870056959</v>
      </c>
      <c r="I55" s="145">
        <f t="shared" si="18"/>
        <v>-20455.989999999998</v>
      </c>
      <c r="J55" s="145">
        <f t="shared" si="16"/>
        <v>70.88778356530896</v>
      </c>
      <c r="K55" s="148">
        <f>F55-49156.62</f>
        <v>653.3899999999994</v>
      </c>
      <c r="L55" s="149">
        <f>F55/49156.62</f>
        <v>1.0132920042102163</v>
      </c>
      <c r="M55" s="40">
        <f>E55-вересень!E55</f>
        <v>4933.700000000004</v>
      </c>
      <c r="N55" s="40">
        <f>F55-вересень!F55</f>
        <v>4388.610000000001</v>
      </c>
      <c r="O55" s="148">
        <f t="shared" si="3"/>
        <v>-545.0900000000038</v>
      </c>
      <c r="P55" s="148">
        <f t="shared" si="17"/>
        <v>88.95169953584524</v>
      </c>
      <c r="Q55" s="160">
        <f>N55-5343.11</f>
        <v>-954.4999999999991</v>
      </c>
      <c r="R55" s="161">
        <f>N55/5343.11</f>
        <v>0.8213587217931132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1.51+5340.41</f>
        <v>5341.92</v>
      </c>
      <c r="G56" s="49">
        <f t="shared" si="14"/>
        <v>-324.5799999999999</v>
      </c>
      <c r="H56" s="40">
        <f t="shared" si="15"/>
        <v>94.27194917497573</v>
      </c>
      <c r="I56" s="56">
        <f t="shared" si="18"/>
        <v>-1518.08</v>
      </c>
      <c r="J56" s="56">
        <f t="shared" si="16"/>
        <v>77.87055393586006</v>
      </c>
      <c r="K56" s="56">
        <f>F56-5173.5</f>
        <v>168.42000000000007</v>
      </c>
      <c r="L56" s="135">
        <f>F56/5173.5</f>
        <v>1.0325543635836474</v>
      </c>
      <c r="M56" s="40">
        <f>E56-вересень!E56</f>
        <v>553</v>
      </c>
      <c r="N56" s="40">
        <f>F56-вересень!F56</f>
        <v>498.3899999999994</v>
      </c>
      <c r="O56" s="53">
        <f t="shared" si="3"/>
        <v>-54.61000000000058</v>
      </c>
      <c r="P56" s="56">
        <f t="shared" si="17"/>
        <v>90.1247739602169</v>
      </c>
      <c r="Q56" s="56">
        <f>N56-479</f>
        <v>19.389999999999418</v>
      </c>
      <c r="R56" s="135">
        <f>N56/479</f>
        <v>1.0404801670146127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10766.69</v>
      </c>
      <c r="G74" s="50">
        <f aca="true" t="shared" si="24" ref="G74:G92">F74-E74</f>
        <v>-2929.8099999999995</v>
      </c>
      <c r="H74" s="51">
        <f aca="true" t="shared" si="25" ref="H74:H87">F74/E74*100</f>
        <v>78.60906070894025</v>
      </c>
      <c r="I74" s="36">
        <f aca="true" t="shared" si="26" ref="I74:I92">F74-D74</f>
        <v>-7591.609999999999</v>
      </c>
      <c r="J74" s="36">
        <f aca="true" t="shared" si="27" ref="J74:J92">F74/D74*100</f>
        <v>58.6475327236182</v>
      </c>
      <c r="K74" s="36">
        <f>F74-16325.3</f>
        <v>-5558.609999999999</v>
      </c>
      <c r="L74" s="136">
        <f>F74/16325.3</f>
        <v>0.6595094730265294</v>
      </c>
      <c r="M74" s="22">
        <f>M77+M86+M88+M89+M94+M95+M96+M97+M99+M87+M104</f>
        <v>1516.5</v>
      </c>
      <c r="N74" s="22">
        <f>N77+N86+N88+N89+N94+N95+N96+N97+N99+N32+N104+N87+N103</f>
        <v>1007.2569999999995</v>
      </c>
      <c r="O74" s="55">
        <f aca="true" t="shared" si="28" ref="O74:O92">N74-M74</f>
        <v>-509.2430000000005</v>
      </c>
      <c r="P74" s="36">
        <f>N74/M74*100</f>
        <v>66.41984833498184</v>
      </c>
      <c r="Q74" s="36">
        <f>N74-1739.9</f>
        <v>-732.6430000000006</v>
      </c>
      <c r="R74" s="136">
        <f>N74/1739.9</f>
        <v>0.5789166044025515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111.85</v>
      </c>
      <c r="G89" s="49">
        <f t="shared" si="24"/>
        <v>-32.150000000000006</v>
      </c>
      <c r="H89" s="40">
        <f>F89/E89*100</f>
        <v>77.67361111111111</v>
      </c>
      <c r="I89" s="56">
        <f t="shared" si="26"/>
        <v>-63.150000000000006</v>
      </c>
      <c r="J89" s="56">
        <f t="shared" si="27"/>
        <v>63.91428571428571</v>
      </c>
      <c r="K89" s="56">
        <f>F89-137.6</f>
        <v>-25.75</v>
      </c>
      <c r="L89" s="135">
        <f>F89/137.6</f>
        <v>0.8128633720930233</v>
      </c>
      <c r="M89" s="40">
        <f>E89-вересень!E89</f>
        <v>15</v>
      </c>
      <c r="N89" s="40">
        <f>F89-вересень!F89</f>
        <v>13.899999999999991</v>
      </c>
      <c r="O89" s="53">
        <f t="shared" si="28"/>
        <v>-1.1000000000000085</v>
      </c>
      <c r="P89" s="56">
        <f>N89/M89*100</f>
        <v>92.66666666666661</v>
      </c>
      <c r="Q89" s="56">
        <f>N89-14.4</f>
        <v>-0.5000000000000089</v>
      </c>
      <c r="R89" s="135">
        <f>N89/14.4</f>
        <v>0.9652777777777771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863.47</v>
      </c>
      <c r="G96" s="49">
        <f t="shared" si="31"/>
        <v>-41.02999999999997</v>
      </c>
      <c r="H96" s="40">
        <f>F96/E96*100</f>
        <v>95.46379215035931</v>
      </c>
      <c r="I96" s="56">
        <f t="shared" si="32"/>
        <v>-336.53</v>
      </c>
      <c r="J96" s="56">
        <f>F96/D96*100</f>
        <v>71.95583333333335</v>
      </c>
      <c r="K96" s="56">
        <f>F96-930</f>
        <v>-66.52999999999997</v>
      </c>
      <c r="L96" s="135">
        <f>F96/930</f>
        <v>0.9284623655913978</v>
      </c>
      <c r="M96" s="40">
        <f>E96-вересень!E96</f>
        <v>110</v>
      </c>
      <c r="N96" s="40">
        <f>F96-вересень!F96</f>
        <v>81.09000000000003</v>
      </c>
      <c r="O96" s="53">
        <f t="shared" si="33"/>
        <v>-28.909999999999968</v>
      </c>
      <c r="P96" s="56">
        <f>N96/M96*100</f>
        <v>73.71818181818185</v>
      </c>
      <c r="Q96" s="56">
        <f>N96-134.5</f>
        <v>-53.40999999999997</v>
      </c>
      <c r="R96" s="135">
        <f>N96/134.5</f>
        <v>0.6028996282527883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3427.02</v>
      </c>
      <c r="G99" s="49">
        <f t="shared" si="31"/>
        <v>90.01999999999998</v>
      </c>
      <c r="H99" s="40">
        <f>F99/E99*100</f>
        <v>102.69763260413545</v>
      </c>
      <c r="I99" s="56">
        <f t="shared" si="32"/>
        <v>-1145.6799999999998</v>
      </c>
      <c r="J99" s="56">
        <f>F99/D99*100</f>
        <v>74.9452183611433</v>
      </c>
      <c r="K99" s="56">
        <f>F99-3845.9</f>
        <v>-418.8800000000001</v>
      </c>
      <c r="L99" s="135">
        <f>F99/3845.9</f>
        <v>0.8910840115447619</v>
      </c>
      <c r="M99" s="40">
        <f>E99-вересень!E99</f>
        <v>330</v>
      </c>
      <c r="N99" s="40">
        <f>F99-вересень!F99</f>
        <v>333.1869999999999</v>
      </c>
      <c r="O99" s="53">
        <f t="shared" si="33"/>
        <v>3.186999999999898</v>
      </c>
      <c r="P99" s="56">
        <f>N99/M99*100</f>
        <v>100.96575757575754</v>
      </c>
      <c r="Q99" s="56">
        <f>N99-434.7</f>
        <v>-101.51300000000009</v>
      </c>
      <c r="R99" s="135">
        <f>N99/434.7</f>
        <v>0.7664757303887737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835.6</v>
      </c>
      <c r="G102" s="144"/>
      <c r="H102" s="146"/>
      <c r="I102" s="145"/>
      <c r="J102" s="145"/>
      <c r="K102" s="148">
        <f>F102-647.5</f>
        <v>188.10000000000002</v>
      </c>
      <c r="L102" s="149">
        <f>F102/647.5</f>
        <v>1.2905019305019305</v>
      </c>
      <c r="M102" s="40">
        <f>E102-вересень!E102</f>
        <v>0</v>
      </c>
      <c r="N102" s="40">
        <f>F102-вересень!F102</f>
        <v>77.20000000000005</v>
      </c>
      <c r="O102" s="53"/>
      <c r="P102" s="60"/>
      <c r="Q102" s="60">
        <f>N102-103.3</f>
        <v>-26.09999999999995</v>
      </c>
      <c r="R102" s="138">
        <f>N102/103.3</f>
        <v>0.747337850919652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-44.44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21.06</v>
      </c>
      <c r="G105" s="49">
        <f>F105-E105</f>
        <v>-6.140000000000001</v>
      </c>
      <c r="H105" s="40">
        <f>F105/E105*100</f>
        <v>77.42647058823529</v>
      </c>
      <c r="I105" s="56">
        <f t="shared" si="34"/>
        <v>-23.94</v>
      </c>
      <c r="J105" s="56">
        <f aca="true" t="shared" si="36" ref="J105:J110">F105/D105*100</f>
        <v>46.8</v>
      </c>
      <c r="K105" s="56">
        <f>F105-17.2</f>
        <v>3.8599999999999994</v>
      </c>
      <c r="L105" s="135">
        <f>F105/17.2</f>
        <v>1.2244186046511627</v>
      </c>
      <c r="M105" s="40">
        <f>E105-вересень!E105</f>
        <v>3</v>
      </c>
      <c r="N105" s="40">
        <f>F105-вересень!F105</f>
        <v>1.1600000000000001</v>
      </c>
      <c r="O105" s="53">
        <f t="shared" si="35"/>
        <v>-1.8399999999999999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392015.05999999994</v>
      </c>
      <c r="G107" s="175">
        <f>F107-E107</f>
        <v>-12712.27999999997</v>
      </c>
      <c r="H107" s="51">
        <f>F107/E107*100</f>
        <v>96.85905083654592</v>
      </c>
      <c r="I107" s="36">
        <f t="shared" si="34"/>
        <v>-114864.54000000004</v>
      </c>
      <c r="J107" s="36">
        <f t="shared" si="36"/>
        <v>77.33889073460443</v>
      </c>
      <c r="K107" s="36">
        <f>F107-397893.6</f>
        <v>-5878.540000000037</v>
      </c>
      <c r="L107" s="136">
        <f>F107/397893.6</f>
        <v>0.9852258493225323</v>
      </c>
      <c r="M107" s="22">
        <f>M8+M74+M105+M106</f>
        <v>41164.299999999974</v>
      </c>
      <c r="N107" s="22">
        <f>N8+N74+N105+N106</f>
        <v>33945.30700000004</v>
      </c>
      <c r="O107" s="55">
        <f t="shared" si="35"/>
        <v>-7218.992999999937</v>
      </c>
      <c r="P107" s="36">
        <f>N107/M107*100</f>
        <v>82.4629764140288</v>
      </c>
      <c r="Q107" s="36">
        <f>N107-39005.1</f>
        <v>-5059.7929999999615</v>
      </c>
      <c r="R107" s="136">
        <f>N107/39005.1</f>
        <v>0.8702786815057528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310555.37</v>
      </c>
      <c r="G108" s="153">
        <f>G10-G18+G96</f>
        <v>-10055.229999999954</v>
      </c>
      <c r="H108" s="72">
        <f>F108/E108*100</f>
        <v>96.86372502967775</v>
      </c>
      <c r="I108" s="52">
        <f t="shared" si="34"/>
        <v>-77657.83000000002</v>
      </c>
      <c r="J108" s="52">
        <f t="shared" si="36"/>
        <v>79.99608720156863</v>
      </c>
      <c r="K108" s="52">
        <f>F108-303111.5</f>
        <v>7443.869999999995</v>
      </c>
      <c r="L108" s="137">
        <f>F108/303111.5</f>
        <v>1.0245581906328198</v>
      </c>
      <c r="M108" s="71">
        <f>M10-M18+M96</f>
        <v>32356.599999999977</v>
      </c>
      <c r="N108" s="71">
        <f>N10-N18+N96</f>
        <v>27159.31000000003</v>
      </c>
      <c r="O108" s="53">
        <f t="shared" si="35"/>
        <v>-5197.289999999946</v>
      </c>
      <c r="P108" s="52">
        <f>N108/M108*100</f>
        <v>83.93746561752486</v>
      </c>
      <c r="Q108" s="52">
        <f>N108-29552.7</f>
        <v>-2393.3899999999703</v>
      </c>
      <c r="R108" s="137">
        <f>N108/29552.7</f>
        <v>0.9190128143959784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81459.68999999994</v>
      </c>
      <c r="G109" s="176">
        <f>F109-E109</f>
        <v>-2657.0499999999884</v>
      </c>
      <c r="H109" s="72">
        <f>F109/E109*100</f>
        <v>96.84123516912331</v>
      </c>
      <c r="I109" s="52">
        <f t="shared" si="34"/>
        <v>-37206.71000000002</v>
      </c>
      <c r="J109" s="52">
        <f t="shared" si="36"/>
        <v>68.64596044036051</v>
      </c>
      <c r="K109" s="52">
        <f>F109-94782.1</f>
        <v>-13322.410000000062</v>
      </c>
      <c r="L109" s="137">
        <f>F109/94782.1</f>
        <v>0.859441708930272</v>
      </c>
      <c r="M109" s="71">
        <f>M107-M108</f>
        <v>8807.699999999997</v>
      </c>
      <c r="N109" s="71">
        <f>N107-N108</f>
        <v>6785.997000000007</v>
      </c>
      <c r="O109" s="53">
        <f t="shared" si="35"/>
        <v>-2021.7029999999904</v>
      </c>
      <c r="P109" s="52">
        <f>N109/M109*100</f>
        <v>77.04618685922556</v>
      </c>
      <c r="Q109" s="52">
        <f>N109-9452.4</f>
        <v>-2666.402999999993</v>
      </c>
      <c r="R109" s="137">
        <f>N109/9452.4</f>
        <v>0.7179125936270161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310555.37</v>
      </c>
      <c r="G110" s="111">
        <f>F110-E110</f>
        <v>-4685.330000000016</v>
      </c>
      <c r="H110" s="72">
        <f>F110/E110*100</f>
        <v>98.5137293503028</v>
      </c>
      <c r="I110" s="81">
        <f t="shared" si="34"/>
        <v>-77657.83000000002</v>
      </c>
      <c r="J110" s="52">
        <f t="shared" si="36"/>
        <v>79.99608720156863</v>
      </c>
      <c r="K110" s="52"/>
      <c r="L110" s="137"/>
      <c r="M110" s="72">
        <f>E110-вересень!E110</f>
        <v>32356.600000000035</v>
      </c>
      <c r="N110" s="71">
        <f>N108</f>
        <v>27159.31000000003</v>
      </c>
      <c r="O110" s="63">
        <f t="shared" si="35"/>
        <v>-5197.2900000000045</v>
      </c>
      <c r="P110" s="52">
        <f>N110/M110*100</f>
        <v>83.93746561752471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1312.34</v>
      </c>
      <c r="G115" s="49">
        <f t="shared" si="37"/>
        <v>-1694.66</v>
      </c>
      <c r="H115" s="40">
        <f aca="true" t="shared" si="39" ref="H115:H126">F115/E115*100</f>
        <v>43.64283338875956</v>
      </c>
      <c r="I115" s="60">
        <f t="shared" si="38"/>
        <v>-2359.16</v>
      </c>
      <c r="J115" s="60">
        <f aca="true" t="shared" si="40" ref="J115:J121">F115/D115*100</f>
        <v>35.74397385264878</v>
      </c>
      <c r="K115" s="60">
        <f>F115-3128</f>
        <v>-1815.66</v>
      </c>
      <c r="L115" s="138">
        <f>F115/3128</f>
        <v>0.41954603580562655</v>
      </c>
      <c r="M115" s="40">
        <f>E115-вересень!E115</f>
        <v>327.4000000000001</v>
      </c>
      <c r="N115" s="40">
        <f>F115-вересень!F115</f>
        <v>189.40999999999985</v>
      </c>
      <c r="O115" s="53">
        <f aca="true" t="shared" si="41" ref="O115:O126">N115-M115</f>
        <v>-137.99000000000024</v>
      </c>
      <c r="P115" s="60">
        <f>N115/M115*100</f>
        <v>57.852779474648685</v>
      </c>
      <c r="Q115" s="60">
        <f>N115-50.4</f>
        <v>139.00999999999985</v>
      </c>
      <c r="R115" s="138">
        <f>N115/50.4</f>
        <v>3.7581349206349177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261.79</v>
      </c>
      <c r="G116" s="49">
        <f t="shared" si="37"/>
        <v>39.29000000000002</v>
      </c>
      <c r="H116" s="40">
        <f t="shared" si="39"/>
        <v>117.65842696629214</v>
      </c>
      <c r="I116" s="60">
        <f t="shared" si="38"/>
        <v>-6.310000000000002</v>
      </c>
      <c r="J116" s="60">
        <f t="shared" si="40"/>
        <v>97.64640059679223</v>
      </c>
      <c r="K116" s="60">
        <f>F116-231.4</f>
        <v>30.390000000000015</v>
      </c>
      <c r="L116" s="138">
        <f>F116/231.4</f>
        <v>1.13133102852204</v>
      </c>
      <c r="M116" s="40">
        <f>E116-вересень!E116</f>
        <v>22</v>
      </c>
      <c r="N116" s="40">
        <f>F116-вересень!F116</f>
        <v>24.630000000000024</v>
      </c>
      <c r="O116" s="53">
        <f t="shared" si="41"/>
        <v>2.630000000000024</v>
      </c>
      <c r="P116" s="60">
        <f>N116/M116*100</f>
        <v>111.95454545454557</v>
      </c>
      <c r="Q116" s="60">
        <f>N116-21.4</f>
        <v>3.2300000000000253</v>
      </c>
      <c r="R116" s="138">
        <f>N116/21.4</f>
        <v>1.1509345794392536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1574.09</v>
      </c>
      <c r="G117" s="62">
        <f t="shared" si="37"/>
        <v>-1655.41</v>
      </c>
      <c r="H117" s="72">
        <f t="shared" si="39"/>
        <v>48.740981576095365</v>
      </c>
      <c r="I117" s="61">
        <f t="shared" si="38"/>
        <v>-2365.51</v>
      </c>
      <c r="J117" s="61">
        <f t="shared" si="40"/>
        <v>39.955579246624026</v>
      </c>
      <c r="K117" s="61">
        <f>F117-33371</f>
        <v>-31796.91</v>
      </c>
      <c r="L117" s="139">
        <f>F117/3371</f>
        <v>0.4669504598042124</v>
      </c>
      <c r="M117" s="62">
        <f>M115+M116+M114</f>
        <v>349.4000000000001</v>
      </c>
      <c r="N117" s="38">
        <f>SUM(N114:N116)</f>
        <v>214.13999999999987</v>
      </c>
      <c r="O117" s="61">
        <f t="shared" si="41"/>
        <v>-135.26000000000022</v>
      </c>
      <c r="P117" s="61">
        <f>N117/M117*100</f>
        <v>61.28792215226097</v>
      </c>
      <c r="Q117" s="61">
        <f>N117-71.8</f>
        <v>142.33999999999986</v>
      </c>
      <c r="R117" s="139">
        <f>N117/71.8</f>
        <v>2.9824512534818926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393.31</v>
      </c>
      <c r="G119" s="49">
        <f t="shared" si="37"/>
        <v>132.81</v>
      </c>
      <c r="H119" s="40">
        <f t="shared" si="39"/>
        <v>150.9827255278311</v>
      </c>
      <c r="I119" s="60">
        <f t="shared" si="38"/>
        <v>126.11000000000001</v>
      </c>
      <c r="J119" s="60">
        <f t="shared" si="40"/>
        <v>147.19685628742516</v>
      </c>
      <c r="K119" s="60">
        <f>F119-234.2</f>
        <v>159.11</v>
      </c>
      <c r="L119" s="138">
        <f>F119/234.2</f>
        <v>1.6793766011955595</v>
      </c>
      <c r="M119" s="40">
        <f>E119-вересень!E119</f>
        <v>73</v>
      </c>
      <c r="N119" s="40">
        <f>F119-вересень!F119</f>
        <v>79.16000000000003</v>
      </c>
      <c r="O119" s="53">
        <f>N119-M119</f>
        <v>6.160000000000025</v>
      </c>
      <c r="P119" s="60">
        <f>N119/M119*100</f>
        <v>108.43835616438359</v>
      </c>
      <c r="Q119" s="60">
        <f>N119-59.7</f>
        <v>19.460000000000022</v>
      </c>
      <c r="R119" s="138">
        <f>N119/59.7</f>
        <v>1.3259631490787274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67283.99</v>
      </c>
      <c r="G120" s="49">
        <f t="shared" si="37"/>
        <v>7271.390000000007</v>
      </c>
      <c r="H120" s="40">
        <f t="shared" si="39"/>
        <v>112.11643888116829</v>
      </c>
      <c r="I120" s="53">
        <f t="shared" si="38"/>
        <v>-4692</v>
      </c>
      <c r="J120" s="60">
        <f t="shared" si="40"/>
        <v>93.48115948109918</v>
      </c>
      <c r="K120" s="60">
        <f>F120-58190.1</f>
        <v>9093.890000000007</v>
      </c>
      <c r="L120" s="138">
        <f>F120/58190.1</f>
        <v>1.1562789890376544</v>
      </c>
      <c r="M120" s="40">
        <f>E120-вересень!E120</f>
        <v>7500</v>
      </c>
      <c r="N120" s="40">
        <f>F120-вересень!F120</f>
        <v>7747.530000000006</v>
      </c>
      <c r="O120" s="53">
        <f t="shared" si="41"/>
        <v>247.5300000000061</v>
      </c>
      <c r="P120" s="60">
        <f aca="true" t="shared" si="42" ref="P120:P125">N120/M120*100</f>
        <v>103.3004000000001</v>
      </c>
      <c r="Q120" s="60">
        <f>N120-7531</f>
        <v>216.5300000000061</v>
      </c>
      <c r="R120" s="138">
        <f>N120/7531</f>
        <v>1.028751825786749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1754.78</v>
      </c>
      <c r="G121" s="49">
        <f t="shared" si="37"/>
        <v>-1444.6200000000001</v>
      </c>
      <c r="H121" s="40">
        <f t="shared" si="39"/>
        <v>54.84715884228293</v>
      </c>
      <c r="I121" s="60">
        <f t="shared" si="38"/>
        <v>-2995.2200000000003</v>
      </c>
      <c r="J121" s="60">
        <f t="shared" si="40"/>
        <v>36.94273684210526</v>
      </c>
      <c r="K121" s="60">
        <f>F121-1289.6</f>
        <v>465.18000000000006</v>
      </c>
      <c r="L121" s="138">
        <f>F121/1289.6</f>
        <v>1.3607165012406948</v>
      </c>
      <c r="M121" s="40">
        <f>E121-вересень!E121</f>
        <v>1476.4</v>
      </c>
      <c r="N121" s="40">
        <f>F121-вересень!F121</f>
        <v>0.049999999999954525</v>
      </c>
      <c r="O121" s="53">
        <f t="shared" si="41"/>
        <v>-1476.3500000000001</v>
      </c>
      <c r="P121" s="60">
        <f t="shared" si="42"/>
        <v>0.0033866160931965944</v>
      </c>
      <c r="Q121" s="60">
        <f>N121-0</f>
        <v>0.049999999999954525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1112.11</v>
      </c>
      <c r="G123" s="49">
        <f t="shared" si="37"/>
        <v>-508.70000000000005</v>
      </c>
      <c r="H123" s="40">
        <f t="shared" si="39"/>
        <v>68.61445820299727</v>
      </c>
      <c r="I123" s="60">
        <f t="shared" si="38"/>
        <v>-887.8900000000001</v>
      </c>
      <c r="J123" s="60">
        <f>F123/D123*100</f>
        <v>55.6055</v>
      </c>
      <c r="K123" s="60">
        <f>F123-1722.8</f>
        <v>-610.69</v>
      </c>
      <c r="L123" s="138">
        <f>F123/1722.8</f>
        <v>0.6455247271882981</v>
      </c>
      <c r="M123" s="40">
        <f>E123-вересень!E123</f>
        <v>189.58999999999992</v>
      </c>
      <c r="N123" s="40">
        <f>F123-вересень!F123</f>
        <v>37.19999999999982</v>
      </c>
      <c r="O123" s="53">
        <f t="shared" si="41"/>
        <v>-152.3900000000001</v>
      </c>
      <c r="P123" s="60">
        <f t="shared" si="42"/>
        <v>19.621288042618193</v>
      </c>
      <c r="Q123" s="60">
        <f>N123-62.5</f>
        <v>-25.300000000000182</v>
      </c>
      <c r="R123" s="138">
        <f>N123/62.5</f>
        <v>0.5951999999999971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73306.29000000001</v>
      </c>
      <c r="G124" s="62">
        <f t="shared" si="37"/>
        <v>-9363.249999999985</v>
      </c>
      <c r="H124" s="72">
        <f t="shared" si="39"/>
        <v>88.67388157718068</v>
      </c>
      <c r="I124" s="61">
        <f t="shared" si="38"/>
        <v>-28764.03</v>
      </c>
      <c r="J124" s="61">
        <f>F124/D124*100</f>
        <v>71.81939862635878</v>
      </c>
      <c r="K124" s="61">
        <f>F124-84102.5</f>
        <v>-10796.209999999992</v>
      </c>
      <c r="L124" s="139">
        <f>F124/84102.5</f>
        <v>0.8716303320353141</v>
      </c>
      <c r="M124" s="62">
        <f>M120+M121+M122+M123+M119</f>
        <v>13887.79</v>
      </c>
      <c r="N124" s="62">
        <f>N120+N121+N122+N123+N119</f>
        <v>8232.800000000007</v>
      </c>
      <c r="O124" s="61">
        <f t="shared" si="41"/>
        <v>-5654.989999999994</v>
      </c>
      <c r="P124" s="61">
        <f t="shared" si="42"/>
        <v>59.280850300875855</v>
      </c>
      <c r="Q124" s="61">
        <f>N124-8015.1</f>
        <v>217.70000000000618</v>
      </c>
      <c r="R124" s="139">
        <f>N124/8015.1</f>
        <v>1.0271612331723878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7377.87</v>
      </c>
      <c r="G128" s="49">
        <f aca="true" t="shared" si="43" ref="G128:G135">F128-E128</f>
        <v>657.3699999999999</v>
      </c>
      <c r="H128" s="40">
        <f>F128/E128*100</f>
        <v>109.78156387173574</v>
      </c>
      <c r="I128" s="60">
        <f aca="true" t="shared" si="44" ref="I128:I135">F128-D128</f>
        <v>-1322.13</v>
      </c>
      <c r="J128" s="60">
        <f>F128/D128*100</f>
        <v>84.80310344827586</v>
      </c>
      <c r="K128" s="60">
        <f>F128-8728.7</f>
        <v>-1350.8300000000008</v>
      </c>
      <c r="L128" s="138">
        <f>F128/8728.7</f>
        <v>0.8452427050992701</v>
      </c>
      <c r="M128" s="40">
        <f>E128-вересень!E128</f>
        <v>2</v>
      </c>
      <c r="N128" s="40">
        <f>F128-вересень!F128</f>
        <v>8.989999999999782</v>
      </c>
      <c r="O128" s="53">
        <f aca="true" t="shared" si="45" ref="O128:O135">N128-M128</f>
        <v>6.989999999999782</v>
      </c>
      <c r="P128" s="60">
        <f>N128/M128*100</f>
        <v>449.4999999999891</v>
      </c>
      <c r="Q128" s="60">
        <f>N128-13.5</f>
        <v>-4.510000000000218</v>
      </c>
      <c r="R128" s="162">
        <f>N128/13.5</f>
        <v>0.6659259259259097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1.18</v>
      </c>
      <c r="G129" s="49">
        <f t="shared" si="43"/>
        <v>1.18</v>
      </c>
      <c r="H129" s="40"/>
      <c r="I129" s="60">
        <f t="shared" si="44"/>
        <v>1.18</v>
      </c>
      <c r="J129" s="60"/>
      <c r="K129" s="60">
        <f>F129-1.1</f>
        <v>0.07999999999999985</v>
      </c>
      <c r="L129" s="138">
        <f>F129/1.1</f>
        <v>1.0727272727272725</v>
      </c>
      <c r="M129" s="40">
        <f>E129-вересень!E129</f>
        <v>0</v>
      </c>
      <c r="N129" s="40">
        <f>F129-вересень!F129</f>
        <v>0.09999999999999987</v>
      </c>
      <c r="O129" s="53">
        <f t="shared" si="45"/>
        <v>0.09999999999999987</v>
      </c>
      <c r="P129" s="60"/>
      <c r="Q129" s="60">
        <f>N129-0.1</f>
        <v>-1.3877787807814457E-16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7433.54</v>
      </c>
      <c r="G130" s="62">
        <f t="shared" si="43"/>
        <v>674.6800000000003</v>
      </c>
      <c r="H130" s="72">
        <f>F130/E130*100</f>
        <v>109.98215675424554</v>
      </c>
      <c r="I130" s="61">
        <f t="shared" si="44"/>
        <v>-1317.1600000000008</v>
      </c>
      <c r="J130" s="61">
        <f>F130/D130*100</f>
        <v>84.94794702138114</v>
      </c>
      <c r="K130" s="61">
        <f>F130-8860.9</f>
        <v>-1427.3599999999997</v>
      </c>
      <c r="L130" s="139">
        <f>G130/8860.9</f>
        <v>0.07614124976018241</v>
      </c>
      <c r="M130" s="62">
        <f>M125+M128+M129+M127</f>
        <v>6</v>
      </c>
      <c r="N130" s="62">
        <f>N125+N128+N129+N127</f>
        <v>19.92999999999978</v>
      </c>
      <c r="O130" s="61">
        <f t="shared" si="45"/>
        <v>13.92999999999978</v>
      </c>
      <c r="P130" s="61">
        <f>N130/M130*100</f>
        <v>332.166666666663</v>
      </c>
      <c r="Q130" s="61">
        <f>N130-24.5</f>
        <v>-4.5700000000002206</v>
      </c>
      <c r="R130" s="137">
        <f>N130/24.5</f>
        <v>0.813469387755093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82346.95</v>
      </c>
      <c r="G134" s="50">
        <f t="shared" si="43"/>
        <v>-10334.800000000003</v>
      </c>
      <c r="H134" s="51">
        <f>F134/E134*100</f>
        <v>88.84915315043145</v>
      </c>
      <c r="I134" s="36">
        <f t="shared" si="44"/>
        <v>-32443.670000000013</v>
      </c>
      <c r="J134" s="36">
        <f>F134/D134*100</f>
        <v>71.73665409246853</v>
      </c>
      <c r="K134" s="36">
        <f>F134-96362.3</f>
        <v>-14015.350000000006</v>
      </c>
      <c r="L134" s="136">
        <f>F134/96362.3</f>
        <v>0.8545556716682768</v>
      </c>
      <c r="M134" s="31">
        <f>M117+M131+M124+M130+M133+M132</f>
        <v>14243.59</v>
      </c>
      <c r="N134" s="31">
        <f>N117+N131+N124+N130+N133+N132</f>
        <v>8468.040000000006</v>
      </c>
      <c r="O134" s="36">
        <f t="shared" si="45"/>
        <v>-5775.549999999994</v>
      </c>
      <c r="P134" s="36">
        <f>N134/M134*100</f>
        <v>59.45158488836035</v>
      </c>
      <c r="Q134" s="36">
        <f>N134-8114</f>
        <v>354.04000000000633</v>
      </c>
      <c r="R134" s="136">
        <f>N134/8114</f>
        <v>1.0436332265220614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474362.00999999995</v>
      </c>
      <c r="G135" s="50">
        <f t="shared" si="43"/>
        <v>-23047.079999999958</v>
      </c>
      <c r="H135" s="51">
        <f>F135/E135*100</f>
        <v>95.36657442267492</v>
      </c>
      <c r="I135" s="36">
        <f t="shared" si="44"/>
        <v>-147308.21000000002</v>
      </c>
      <c r="J135" s="36">
        <f>F135/D135*100</f>
        <v>76.30444482285156</v>
      </c>
      <c r="K135" s="36">
        <f>F135-494255.9</f>
        <v>-19893.890000000072</v>
      </c>
      <c r="L135" s="136">
        <f>F135/494255.9</f>
        <v>0.9597498178575105</v>
      </c>
      <c r="M135" s="22">
        <f>M107+M134</f>
        <v>55407.88999999997</v>
      </c>
      <c r="N135" s="22">
        <f>N107+N134</f>
        <v>42413.347000000045</v>
      </c>
      <c r="O135" s="36">
        <f t="shared" si="45"/>
        <v>-12994.542999999925</v>
      </c>
      <c r="P135" s="36">
        <f>N135/M135*100</f>
        <v>76.54748628760284</v>
      </c>
      <c r="Q135" s="36">
        <f>N135-47119.1</f>
        <v>-4705.752999999953</v>
      </c>
      <c r="R135" s="136">
        <f>N135/47119.1</f>
        <v>0.9001306688795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</v>
      </c>
      <c r="D137" s="4" t="s">
        <v>118</v>
      </c>
    </row>
    <row r="138" spans="2:17" ht="31.5">
      <c r="B138" s="78" t="s">
        <v>154</v>
      </c>
      <c r="C138" s="39">
        <f>IF(O107&lt;0,ABS(O107/C137),0)</f>
        <v>3609.4964999999684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41941</v>
      </c>
      <c r="D139" s="39">
        <v>2987.3</v>
      </c>
      <c r="N139" s="194"/>
      <c r="O139" s="194"/>
    </row>
    <row r="140" spans="3:15" ht="15.75">
      <c r="C140" s="120">
        <v>41940</v>
      </c>
      <c r="D140" s="39">
        <v>1735.4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41939</v>
      </c>
      <c r="D141" s="39">
        <v>752.6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116432.01901</v>
      </c>
      <c r="E143" s="80"/>
      <c r="F143" s="100" t="s">
        <v>147</v>
      </c>
      <c r="G143" s="190" t="s">
        <v>149</v>
      </c>
      <c r="H143" s="190"/>
      <c r="I143" s="116">
        <v>107411.42248000001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23633.027179999997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23633.027179999997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2014-10-30T08:36:18Z</cp:lastPrinted>
  <dcterms:created xsi:type="dcterms:W3CDTF">2003-07-28T11:27:56Z</dcterms:created>
  <dcterms:modified xsi:type="dcterms:W3CDTF">2014-10-30T08:49:37Z</dcterms:modified>
  <cp:category/>
  <cp:version/>
  <cp:contentType/>
  <cp:contentStatus/>
</cp:coreProperties>
</file>